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4088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<sst xmlns="http://schemas.openxmlformats.org/spreadsheetml/2006/main" count="112" uniqueCount="81">
  <si>
    <t>角色基础属性</t>
  </si>
  <si>
    <t>武器副属性</t>
  </si>
  <si>
    <t>武器被动</t>
  </si>
  <si>
    <t>角色模型方面（非必填）</t>
  </si>
  <si>
    <t>伤害结算面板数据</t>
  </si>
  <si>
    <t>简易配平（各提升一词条）</t>
  </si>
  <si>
    <t>基础攻击力</t>
  </si>
  <si>
    <t>暴击率</t>
  </si>
  <si>
    <t>技能倍率</t>
  </si>
  <si>
    <t>暴击率提升</t>
  </si>
  <si>
    <t>基础生命值</t>
  </si>
  <si>
    <t>暴击伤害</t>
  </si>
  <si>
    <t>独立乘区</t>
  </si>
  <si>
    <t>攻击力</t>
  </si>
  <si>
    <t>暴击伤害提升</t>
  </si>
  <si>
    <t>基础防御力</t>
  </si>
  <si>
    <t>攻击力%</t>
  </si>
  <si>
    <t>增幅乘区</t>
  </si>
  <si>
    <t>生命值</t>
  </si>
  <si>
    <t>攻击力%提升</t>
  </si>
  <si>
    <t>角色突破属性（五星填1.2；四星填1）</t>
  </si>
  <si>
    <t>生命值%</t>
  </si>
  <si>
    <t>反应覆盖率</t>
  </si>
  <si>
    <t>防御力</t>
  </si>
  <si>
    <t>元素精通提升</t>
  </si>
  <si>
    <t>暴击率（16%）</t>
  </si>
  <si>
    <t>防御力%</t>
  </si>
  <si>
    <t>角色等级</t>
  </si>
  <si>
    <t>增伤提升</t>
  </si>
  <si>
    <t>暴击伤害（32%）</t>
  </si>
  <si>
    <t>属性增伤</t>
  </si>
  <si>
    <t>增伤</t>
  </si>
  <si>
    <t>队伍增益方面</t>
  </si>
  <si>
    <t>攻击力提升</t>
  </si>
  <si>
    <t>攻击力（24%）</t>
  </si>
  <si>
    <t>元素精通</t>
  </si>
  <si>
    <t>增伤总和</t>
  </si>
  <si>
    <t>减抗提升</t>
  </si>
  <si>
    <t>生命值上限（24%）</t>
  </si>
  <si>
    <t>元素充能效率</t>
  </si>
  <si>
    <t>减防提升</t>
  </si>
  <si>
    <t>防御力（38.4%）</t>
  </si>
  <si>
    <t>武器主属性</t>
  </si>
  <si>
    <t>数值攻击力</t>
  </si>
  <si>
    <t>精通收益</t>
  </si>
  <si>
    <t>元素精通（96）</t>
  </si>
  <si>
    <t>反应乘区</t>
  </si>
  <si>
    <t>元素充能效率（26.7%）</t>
  </si>
  <si>
    <t>圣遗物主属性选择</t>
  </si>
  <si>
    <t>圣遗物副属性词条数选择</t>
  </si>
  <si>
    <t>属性增伤（24%）</t>
  </si>
  <si>
    <t>暴击率部位</t>
  </si>
  <si>
    <t>暴击率（3.3%）</t>
  </si>
  <si>
    <t>敌人情况</t>
  </si>
  <si>
    <t>圣遗物套装增益</t>
  </si>
  <si>
    <t>暴击伤害部位</t>
  </si>
  <si>
    <t>暴击伤害（6.6%）</t>
  </si>
  <si>
    <t>敌人等级</t>
  </si>
  <si>
    <t>攻击力部位</t>
  </si>
  <si>
    <t>攻击力（5.0%）</t>
  </si>
  <si>
    <t>总无视防御力</t>
  </si>
  <si>
    <t>生命值部位</t>
  </si>
  <si>
    <t>生命值（5.0%）</t>
  </si>
  <si>
    <t>数值防御力</t>
  </si>
  <si>
    <t>总降低防御力</t>
  </si>
  <si>
    <t>元素精通部位</t>
  </si>
  <si>
    <t>元素精通（20）</t>
  </si>
  <si>
    <t>数值生命值</t>
  </si>
  <si>
    <t>敌人初始抗性</t>
  </si>
  <si>
    <t>增伤部位</t>
  </si>
  <si>
    <t>充能（5.5%）</t>
  </si>
  <si>
    <t>总减抗</t>
  </si>
  <si>
    <t>防御力部位</t>
  </si>
  <si>
    <t>防御力（6.2%）</t>
  </si>
  <si>
    <t>数值增伤</t>
  </si>
  <si>
    <t>防御乘区</t>
  </si>
  <si>
    <t>充能部位</t>
  </si>
  <si>
    <t>总词条数</t>
  </si>
  <si>
    <t>充能</t>
  </si>
  <si>
    <t>抗性乘区</t>
  </si>
  <si>
    <t>治疗部位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</si>
</sst>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0.0000_ "/>
  </numFmts>
  <fonts count="22">
    <font>
      <sz val="11"/>
      <color theme="1"/>
      <name val="宋体"/>
      <charset val="134"/>
      <scheme val="minor"/>
    </font>
    <font>
      <sz val="20"/>
      <color theme="1"/>
      <name val="SDK_SC_Web"/>
      <charset val="134"/>
    </font>
    <font>
      <sz val="20"/>
      <color rgb="FFFF0000"/>
      <name val="SDK_SC_Web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DE5FF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10" borderId="6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7">
      <alignment vertical="center"/>
    </xf>
    <xf numFmtId="0" fontId="9" fillId="0" borderId="7">
      <alignment vertical="center"/>
    </xf>
    <xf numFmtId="0" fontId="10" fillId="0" borderId="8">
      <alignment vertical="center"/>
    </xf>
    <xf numFmtId="0" fontId="10" fillId="0" borderId="0">
      <alignment vertical="center"/>
    </xf>
    <xf numFmtId="0" fontId="11" fillId="11" borderId="9">
      <alignment vertical="center"/>
    </xf>
    <xf numFmtId="0" fontId="12" fillId="12" borderId="10">
      <alignment vertical="center"/>
    </xf>
    <xf numFmtId="0" fontId="13" fillId="12" borderId="9">
      <alignment vertical="center"/>
    </xf>
    <xf numFmtId="0" fontId="14" fillId="13" borderId="11">
      <alignment vertical="center"/>
    </xf>
    <xf numFmtId="0" fontId="15" fillId="0" borderId="12">
      <alignment vertical="center"/>
    </xf>
    <xf numFmtId="0" fontId="16" fillId="0" borderId="13">
      <alignment vertical="center"/>
    </xf>
    <xf numFmtId="0" fontId="17" fillId="14" borderId="0">
      <alignment vertical="center"/>
    </xf>
    <xf numFmtId="0" fontId="18" fillId="15" borderId="0">
      <alignment vertical="center"/>
    </xf>
    <xf numFmtId="0" fontId="19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  <xf numFmtId="0" fontId="20" fillId="33" borderId="0">
      <alignment vertical="center"/>
    </xf>
    <xf numFmtId="0" fontId="21" fillId="34" borderId="0">
      <alignment vertical="center"/>
    </xf>
    <xf numFmtId="0" fontId="21" fillId="35" borderId="0">
      <alignment vertical="center"/>
    </xf>
    <xf numFmtId="0" fontId="20" fillId="36" borderId="0">
      <alignment vertical="center"/>
    </xf>
    <xf numFmtId="0" fontId="20" fillId="37" borderId="0">
      <alignment vertical="center"/>
    </xf>
    <xf numFmtId="0" fontId="21" fillId="38" borderId="0">
      <alignment vertical="center"/>
    </xf>
    <xf numFmtId="0" fontId="21" fillId="39" borderId="0">
      <alignment vertical="center"/>
    </xf>
    <xf numFmtId="0" fontId="20" fillId="40" borderId="0">
      <alignment vertical="center"/>
    </xf>
  </cellStyleXfs>
  <cellXfs count="37">
    <xf numFmtId="0" fontId="0" fillId="0" borderId="0" xfId="0" applyAlignment="1">
      <alignment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horizontal="center" vertical="center"/>
    </xf>
    <xf numFmtId="0" fontId="1" fillId="5" borderId="1" xfId="0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10" fontId="2" fillId="0" borderId="1" xfId="0" applyNumberFormat="1" applyFont="1" applyBorder="1" applyAlignment="1" applyProtection="1">
      <alignment horizontal="center" vertical="center"/>
    </xf>
    <xf numFmtId="176" fontId="2" fillId="5" borderId="1" xfId="0" applyNumberFormat="1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/>
    </xf>
    <xf numFmtId="0" fontId="1" fillId="6" borderId="4" xfId="0" applyFont="1" applyFill="1" applyBorder="1" applyAlignment="1" applyProtection="1">
      <alignment horizontal="center" vertical="center"/>
      <protection locked="0"/>
    </xf>
    <xf numFmtId="10" fontId="2" fillId="5" borderId="1" xfId="0" applyNumberFormat="1" applyFont="1" applyFill="1" applyBorder="1" applyAlignment="1" applyProtection="1">
      <alignment horizontal="center" vertical="center"/>
    </xf>
    <xf numFmtId="0" fontId="1" fillId="7" borderId="1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7" borderId="1" xfId="0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alignment horizontal="center" vertical="center"/>
    </xf>
    <xf numFmtId="177" fontId="2" fillId="5" borderId="1" xfId="0" applyNumberFormat="1" applyFont="1" applyFill="1" applyBorder="1" applyAlignment="1" applyProtection="1">
      <alignment horizontal="center" vertical="center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8" borderId="1" xfId="0" applyFont="1" applyFill="1" applyBorder="1" applyAlignment="1" applyProtection="1">
      <alignment horizontal="center" vertical="center"/>
    </xf>
    <xf numFmtId="0" fontId="1" fillId="8" borderId="1" xfId="0" applyFont="1" applyFill="1" applyBorder="1" applyAlignment="1" applyProtection="1">
      <alignment horizontal="center" vertical="center"/>
      <protection locked="0"/>
    </xf>
    <xf numFmtId="0" fontId="1" fillId="9" borderId="2" xfId="0" applyFont="1" applyFill="1" applyBorder="1" applyAlignment="1" applyProtection="1">
      <alignment horizontal="center" vertical="center"/>
    </xf>
    <xf numFmtId="0" fontId="1" fillId="9" borderId="1" xfId="0" applyFont="1" applyFill="1" applyBorder="1" applyAlignment="1" applyProtection="1">
      <alignment horizontal="center" vertical="center"/>
    </xf>
    <xf numFmtId="0" fontId="1" fillId="8" borderId="2" xfId="0" applyFont="1" applyFill="1" applyBorder="1" applyAlignment="1" applyProtection="1">
      <alignment horizontal="center" vertical="center"/>
    </xf>
    <xf numFmtId="0" fontId="1" fillId="9" borderId="1" xfId="0" applyFont="1" applyFill="1" applyBorder="1" applyAlignment="1" applyProtection="1">
      <alignment horizontal="center" vertical="center"/>
      <protection locked="0"/>
    </xf>
    <xf numFmtId="178" fontId="2" fillId="6" borderId="1" xfId="0" applyNumberFormat="1" applyFont="1" applyFill="1" applyBorder="1" applyAlignment="1" applyProtection="1">
      <alignment horizontal="center" vertical="center"/>
    </xf>
    <xf numFmtId="0" fontId="1" fillId="8" borderId="5" xfId="0" applyFont="1" applyFill="1" applyBorder="1" applyAlignment="1" applyProtection="1">
      <alignment horizontal="center" vertical="center"/>
      <protection locked="0"/>
    </xf>
    <xf numFmtId="0" fontId="2" fillId="8" borderId="1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1" fillId="8" borderId="4" xfId="0" applyFont="1" applyFill="1" applyBorder="1" applyAlignment="1" applyProtection="1">
      <alignment horizontal="center" vertical="center"/>
    </xf>
    <xf numFmtId="0" fontId="1" fillId="8" borderId="4" xfId="0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E5E5"/>
      <color rgb="00FDE5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5"/>
  <sheetViews>
    <sheetView tabSelected="1" zoomScale="63" zoomScaleNormal="63" workbookViewId="0">
      <selection activeCell="L12" sqref="L12"/>
    </sheetView>
  </sheetViews>
  <sheetFormatPr defaultColWidth="25.7777777777778" defaultRowHeight="50" customHeight="1"/>
  <cols>
    <col min="1" max="1" width="49.3611111111111" style="1" customWidth="1"/>
    <col min="2" max="2" width="25.7777777777778" style="1" customWidth="1"/>
    <col min="3" max="3" width="37.1574074074074" style="1" customWidth="1"/>
    <col min="4" max="4" width="25.7777777777778" style="1" customWidth="1"/>
    <col min="5" max="5" width="36.962962962963" style="1" customWidth="1"/>
    <col min="6" max="16384" width="25.7777777777778" style="1" customWidth="1"/>
  </cols>
  <sheetData>
    <row r="1" customHeight="1" spans="1:16">
      <c r="A1" s="2" t="s">
        <v>0</v>
      </c>
      <c r="B1" s="2"/>
      <c r="C1" s="3" t="s">
        <v>1</v>
      </c>
      <c r="D1" s="3"/>
      <c r="E1" s="3" t="s">
        <v>2</v>
      </c>
      <c r="F1" s="3"/>
      <c r="G1" s="4" t="s">
        <v>3</v>
      </c>
      <c r="H1" s="4"/>
      <c r="I1" s="5" t="s">
        <v>4</v>
      </c>
      <c r="J1" s="5"/>
      <c r="K1" s="6" t="s">
        <v>5</v>
      </c>
      <c r="L1" s="7"/>
      <c r="M1" s="7"/>
      <c r="P1" s="8"/>
    </row>
    <row r="2" customHeight="1" spans="1:16">
      <c r="A2" s="2" t="s">
        <v>6</v>
      </c>
      <c r="B2" s="9">
        <v>359</v>
      </c>
      <c r="C2" s="3" t="s">
        <v>7</v>
      </c>
      <c r="D2" s="10">
        <v>0.11</v>
      </c>
      <c r="E2" s="3" t="s">
        <v>7</v>
      </c>
      <c r="F2" s="10">
        <v>0</v>
      </c>
      <c r="G2" s="4" t="s">
        <v>8</v>
      </c>
      <c r="H2" s="11">
        <v>5</v>
      </c>
      <c r="I2" s="7" t="s">
        <v>6</v>
      </c>
      <c r="J2" s="12">
        <f>B2+D11</f>
        <v>1100</v>
      </c>
      <c r="K2" s="6" t="s">
        <v>9</v>
      </c>
      <c r="L2" s="7">
        <v>0.033</v>
      </c>
      <c r="M2" s="13">
        <f>IF(L2+J6&lt;1,(1+(J6+L2)*J7)/(1+J6*J7)-1,IF(J6&lt;1,(1+J7)/(1+J6*J7)-1,0))</f>
        <v>0.0243820214160531</v>
      </c>
    </row>
    <row r="3" customHeight="1" spans="1:16">
      <c r="A3" s="2" t="s">
        <v>10</v>
      </c>
      <c r="B3" s="9">
        <v>12417</v>
      </c>
      <c r="C3" s="3" t="s">
        <v>11</v>
      </c>
      <c r="D3" s="10">
        <v>0</v>
      </c>
      <c r="E3" s="3" t="s">
        <v>11</v>
      </c>
      <c r="F3" s="10">
        <v>0.35</v>
      </c>
      <c r="G3" s="4" t="s">
        <v>12</v>
      </c>
      <c r="H3" s="11">
        <v>1</v>
      </c>
      <c r="I3" s="5" t="s">
        <v>13</v>
      </c>
      <c r="J3" s="14">
        <f>(B2+D11)*(1+D4+F4+B16+B8*0.24+H10+D15*0.466+F15*0.05)+311+F10+H15</f>
        <v>2390</v>
      </c>
      <c r="K3" s="6" t="s">
        <v>14</v>
      </c>
      <c r="L3" s="7">
        <v>0.066</v>
      </c>
      <c r="M3" s="13">
        <f>(1+(J7+L3)*J6)/(1+J6*J7)-1</f>
        <v>0.0185287857501961</v>
      </c>
    </row>
    <row r="4" customHeight="1" spans="1:16">
      <c r="A4" s="2" t="s">
        <v>15</v>
      </c>
      <c r="B4" s="9">
        <v>600</v>
      </c>
      <c r="C4" s="3" t="s">
        <v>13</v>
      </c>
      <c r="D4" s="10">
        <v>0</v>
      </c>
      <c r="E4" s="3" t="s">
        <v>16</v>
      </c>
      <c r="F4" s="10">
        <v>0.49</v>
      </c>
      <c r="G4" s="4" t="s">
        <v>17</v>
      </c>
      <c r="H4" s="11">
        <v>2</v>
      </c>
      <c r="I4" s="5" t="s">
        <v>18</v>
      </c>
      <c r="J4" s="14">
        <f>B3*(1+B9*0.24+D5+F5+B17+D16*0.466+F16*0.05+H11)+4780</f>
        <v>17197</v>
      </c>
      <c r="K4" s="6" t="s">
        <v>19</v>
      </c>
      <c r="L4" s="7">
        <v>0.05</v>
      </c>
      <c r="M4" s="13">
        <f>((J3+(B2+D11)*L4)*H2*H3+H19)/(J3*H2*H3+H19)-1</f>
        <v>0.0230125523012552</v>
      </c>
    </row>
    <row r="5" customHeight="1" spans="1:16">
      <c r="A5" s="2" t="s">
        <v>20</v>
      </c>
      <c r="B5" s="2"/>
      <c r="C5" s="3" t="s">
        <v>18</v>
      </c>
      <c r="D5" s="10">
        <v>0</v>
      </c>
      <c r="E5" s="3" t="s">
        <v>21</v>
      </c>
      <c r="F5" s="10">
        <v>0</v>
      </c>
      <c r="G5" s="4" t="s">
        <v>22</v>
      </c>
      <c r="H5" s="11">
        <v>1</v>
      </c>
      <c r="I5" s="5" t="s">
        <v>23</v>
      </c>
      <c r="J5" s="14">
        <f>B4*(1+B10*0.384+D6+F6+B18+H12+D19*0.583+F19*0.062)</f>
        <v>600</v>
      </c>
      <c r="K5" s="6" t="s">
        <v>24</v>
      </c>
      <c r="L5" s="7">
        <v>20</v>
      </c>
      <c r="M5" s="13">
        <f>((1-H5+(H5*H4*(1+H18+B22+(2.78*(J9+L5))/(1400+J9+L5))))/J11)-1</f>
        <v>0.0229906511990305</v>
      </c>
    </row>
    <row r="6" customHeight="1" spans="1:16">
      <c r="A6" s="2" t="s">
        <v>25</v>
      </c>
      <c r="B6" s="9">
        <v>0</v>
      </c>
      <c r="C6" s="3" t="s">
        <v>23</v>
      </c>
      <c r="D6" s="10">
        <v>0</v>
      </c>
      <c r="E6" s="3" t="s">
        <v>26</v>
      </c>
      <c r="F6" s="10">
        <v>0</v>
      </c>
      <c r="G6" s="15" t="s">
        <v>27</v>
      </c>
      <c r="H6" s="16">
        <v>90</v>
      </c>
      <c r="I6" s="5" t="s">
        <v>7</v>
      </c>
      <c r="J6" s="17">
        <f>0.05+B6*0.16+D2+F2+B15+D13*0.311+F13*0.033+H8</f>
        <v>0.956</v>
      </c>
      <c r="K6" s="6" t="s">
        <v>28</v>
      </c>
      <c r="L6" s="7">
        <v>0.05</v>
      </c>
      <c r="M6" s="13">
        <f>(J8+L6+1)/(1+J8)-1</f>
        <v>0.0309405940594059</v>
      </c>
    </row>
    <row r="7" customHeight="1" spans="1:16">
      <c r="A7" s="2" t="s">
        <v>29</v>
      </c>
      <c r="B7" s="9">
        <v>1.2</v>
      </c>
      <c r="C7" s="3" t="s">
        <v>30</v>
      </c>
      <c r="D7" s="10">
        <v>0</v>
      </c>
      <c r="E7" s="3" t="s">
        <v>31</v>
      </c>
      <c r="F7" s="10">
        <v>0</v>
      </c>
      <c r="G7" s="18" t="s">
        <v>32</v>
      </c>
      <c r="H7" s="18"/>
      <c r="I7" s="5" t="s">
        <v>11</v>
      </c>
      <c r="J7" s="17">
        <f>0.5+B7*0.32+D3+F3+D14*0.622+F14*0.066+H9</f>
        <v>2.516</v>
      </c>
      <c r="K7" s="6" t="s">
        <v>33</v>
      </c>
      <c r="L7" s="19">
        <v>0</v>
      </c>
      <c r="M7" s="13">
        <f>((J3+L7)*H2*H3+H19)/(J3*H2*H3+H19)-1</f>
        <v>0</v>
      </c>
    </row>
    <row r="8" customHeight="1" spans="1:16">
      <c r="A8" s="2" t="s">
        <v>34</v>
      </c>
      <c r="B8" s="9">
        <v>0</v>
      </c>
      <c r="C8" s="3" t="s">
        <v>35</v>
      </c>
      <c r="D8" s="10">
        <v>0</v>
      </c>
      <c r="E8" s="3" t="s">
        <v>35</v>
      </c>
      <c r="F8" s="10">
        <v>0</v>
      </c>
      <c r="G8" s="18" t="s">
        <v>7</v>
      </c>
      <c r="H8" s="20">
        <v>0</v>
      </c>
      <c r="I8" s="5" t="s">
        <v>36</v>
      </c>
      <c r="J8" s="17">
        <f>B13*0.24+D7+F7+B19+H13+D18*0.466</f>
        <v>0.616</v>
      </c>
      <c r="K8" s="6" t="s">
        <v>37</v>
      </c>
      <c r="L8" s="19">
        <v>0</v>
      </c>
      <c r="M8" s="13">
        <f>IF(J17-J18-L8&gt;=0.75,1/(1+4*(J17-J18-L8)),IF(J17-J18-L8&gt;=0,1-(J17-J18-L8),1-((J17-J18-L8)/2)))/J20-1</f>
        <v>0</v>
      </c>
    </row>
    <row r="9" customHeight="1" spans="1:16">
      <c r="A9" s="2" t="s">
        <v>38</v>
      </c>
      <c r="B9" s="9">
        <v>0</v>
      </c>
      <c r="C9" s="3" t="s">
        <v>39</v>
      </c>
      <c r="D9" s="10">
        <v>0</v>
      </c>
      <c r="E9" s="3" t="s">
        <v>39</v>
      </c>
      <c r="F9" s="10">
        <v>0</v>
      </c>
      <c r="G9" s="18" t="s">
        <v>11</v>
      </c>
      <c r="H9" s="20">
        <v>0</v>
      </c>
      <c r="I9" s="5" t="s">
        <v>35</v>
      </c>
      <c r="J9" s="21">
        <f>B11*96+D8+F8+B20+H14+F17*20+D17*187</f>
        <v>187</v>
      </c>
      <c r="K9" s="6" t="s">
        <v>40</v>
      </c>
      <c r="L9" s="19">
        <v>0</v>
      </c>
      <c r="M9" s="13">
        <f>((H6*5+500)/((1-J16-L9)*(1-J15)*(J14*5+500)+H6*5+500))/J19-1</f>
        <v>0</v>
      </c>
    </row>
    <row r="10" customHeight="1" spans="1:16">
      <c r="A10" s="2" t="s">
        <v>41</v>
      </c>
      <c r="B10" s="9">
        <v>0</v>
      </c>
      <c r="C10" s="10" t="s">
        <v>42</v>
      </c>
      <c r="D10" s="10"/>
      <c r="E10" s="3" t="s">
        <v>43</v>
      </c>
      <c r="F10" s="10">
        <v>0</v>
      </c>
      <c r="G10" s="18" t="s">
        <v>16</v>
      </c>
      <c r="H10" s="20">
        <v>0</v>
      </c>
      <c r="I10" s="5" t="s">
        <v>44</v>
      </c>
      <c r="J10" s="22">
        <f>F11+B22+H18</f>
        <v>0</v>
      </c>
    </row>
    <row r="11" customHeight="1" spans="1:16">
      <c r="A11" s="2" t="s">
        <v>45</v>
      </c>
      <c r="B11" s="9">
        <v>0</v>
      </c>
      <c r="C11" s="3" t="s">
        <v>6</v>
      </c>
      <c r="D11" s="10">
        <v>741</v>
      </c>
      <c r="E11" s="23" t="s">
        <v>44</v>
      </c>
      <c r="F11" s="24">
        <v>0</v>
      </c>
      <c r="G11" s="18" t="s">
        <v>21</v>
      </c>
      <c r="H11" s="20">
        <v>0</v>
      </c>
      <c r="I11" s="5" t="s">
        <v>46</v>
      </c>
      <c r="J11" s="22">
        <f>1-H5+(H5*H4*(1+H18+B22+(2.78*J9)/(1400+J9)))</f>
        <v>2.65514807813485</v>
      </c>
    </row>
    <row r="12" customHeight="1" spans="1:16">
      <c r="A12" s="2" t="s">
        <v>47</v>
      </c>
      <c r="B12" s="9">
        <v>0</v>
      </c>
      <c r="C12" s="25" t="s">
        <v>48</v>
      </c>
      <c r="D12" s="25"/>
      <c r="E12" s="25" t="s">
        <v>49</v>
      </c>
      <c r="F12" s="25"/>
      <c r="G12" s="18" t="s">
        <v>26</v>
      </c>
      <c r="H12" s="20">
        <v>0</v>
      </c>
      <c r="I12" s="5" t="s">
        <v>39</v>
      </c>
      <c r="J12" s="21">
        <f>1+B12*0.267+D9+F9+B21+D20*0.518+F18*0.055+H20</f>
        <v>1</v>
      </c>
    </row>
    <row r="13" customHeight="1" spans="1:16">
      <c r="A13" s="2" t="s">
        <v>50</v>
      </c>
      <c r="B13" s="9">
        <v>0</v>
      </c>
      <c r="C13" s="25" t="s">
        <v>51</v>
      </c>
      <c r="D13" s="26">
        <v>0</v>
      </c>
      <c r="E13" s="25" t="s">
        <v>52</v>
      </c>
      <c r="F13" s="26">
        <v>12</v>
      </c>
      <c r="G13" s="18" t="s">
        <v>31</v>
      </c>
      <c r="H13" s="20">
        <v>0</v>
      </c>
      <c r="I13" s="27" t="s">
        <v>53</v>
      </c>
      <c r="J13" s="28"/>
    </row>
    <row r="14" customHeight="1" spans="1:16">
      <c r="A14" s="25" t="s">
        <v>54</v>
      </c>
      <c r="B14" s="25"/>
      <c r="C14" s="29" t="s">
        <v>55</v>
      </c>
      <c r="D14" s="26">
        <v>1</v>
      </c>
      <c r="E14" s="25" t="s">
        <v>56</v>
      </c>
      <c r="F14" s="26">
        <v>10</v>
      </c>
      <c r="G14" s="18" t="s">
        <v>35</v>
      </c>
      <c r="H14" s="20">
        <v>0</v>
      </c>
      <c r="I14" s="27" t="s">
        <v>57</v>
      </c>
      <c r="J14" s="30">
        <v>90</v>
      </c>
    </row>
    <row r="15" customHeight="1" spans="1:16">
      <c r="A15" s="25" t="s">
        <v>7</v>
      </c>
      <c r="B15" s="26">
        <v>0.4</v>
      </c>
      <c r="C15" s="29" t="s">
        <v>58</v>
      </c>
      <c r="D15" s="26">
        <v>0</v>
      </c>
      <c r="E15" s="25" t="s">
        <v>59</v>
      </c>
      <c r="F15" s="26">
        <v>8</v>
      </c>
      <c r="G15" s="18" t="s">
        <v>43</v>
      </c>
      <c r="H15" s="20">
        <v>0</v>
      </c>
      <c r="I15" s="27" t="s">
        <v>60</v>
      </c>
      <c r="J15" s="30">
        <v>0</v>
      </c>
    </row>
    <row r="16" customHeight="1" spans="1:16">
      <c r="A16" s="25" t="s">
        <v>16</v>
      </c>
      <c r="B16" s="26">
        <v>0</v>
      </c>
      <c r="C16" s="29" t="s">
        <v>61</v>
      </c>
      <c r="D16" s="26">
        <v>0</v>
      </c>
      <c r="E16" s="25" t="s">
        <v>62</v>
      </c>
      <c r="F16" s="26">
        <v>0</v>
      </c>
      <c r="G16" s="18" t="s">
        <v>63</v>
      </c>
      <c r="H16" s="20">
        <v>0</v>
      </c>
      <c r="I16" s="27" t="s">
        <v>64</v>
      </c>
      <c r="J16" s="30">
        <v>0</v>
      </c>
    </row>
    <row r="17" customHeight="1" spans="1:14">
      <c r="A17" s="25" t="s">
        <v>21</v>
      </c>
      <c r="B17" s="26">
        <v>0</v>
      </c>
      <c r="C17" s="29" t="s">
        <v>65</v>
      </c>
      <c r="D17" s="26">
        <v>1</v>
      </c>
      <c r="E17" s="25" t="s">
        <v>66</v>
      </c>
      <c r="F17" s="26">
        <v>0</v>
      </c>
      <c r="G17" s="18" t="s">
        <v>67</v>
      </c>
      <c r="H17" s="20">
        <v>0</v>
      </c>
      <c r="I17" s="27" t="s">
        <v>68</v>
      </c>
      <c r="J17" s="30">
        <v>0.1</v>
      </c>
    </row>
    <row r="18" customHeight="1" spans="1:14">
      <c r="A18" s="25" t="s">
        <v>26</v>
      </c>
      <c r="B18" s="26">
        <v>0</v>
      </c>
      <c r="C18" s="29" t="s">
        <v>69</v>
      </c>
      <c r="D18" s="26">
        <v>1</v>
      </c>
      <c r="E18" s="25" t="s">
        <v>70</v>
      </c>
      <c r="F18" s="26">
        <v>0</v>
      </c>
      <c r="G18" s="18" t="s">
        <v>44</v>
      </c>
      <c r="H18" s="20">
        <v>0</v>
      </c>
      <c r="I18" s="27" t="s">
        <v>71</v>
      </c>
      <c r="J18" s="30">
        <v>0.36</v>
      </c>
    </row>
    <row r="19" customHeight="1" spans="1:14">
      <c r="A19" s="25" t="s">
        <v>31</v>
      </c>
      <c r="B19" s="26">
        <v>0.15</v>
      </c>
      <c r="C19" s="29" t="s">
        <v>72</v>
      </c>
      <c r="D19" s="26">
        <v>0</v>
      </c>
      <c r="E19" s="25" t="s">
        <v>73</v>
      </c>
      <c r="F19" s="26">
        <v>0</v>
      </c>
      <c r="G19" s="18" t="s">
        <v>74</v>
      </c>
      <c r="H19" s="20">
        <v>0</v>
      </c>
      <c r="I19" s="6" t="s">
        <v>75</v>
      </c>
      <c r="J19" s="31">
        <f>(H6*5+500)/((1-J16)*(1-J15)*(J14*5+500)+H6*5+500)</f>
        <v>0.5</v>
      </c>
    </row>
    <row r="20" customHeight="1" spans="1:14">
      <c r="A20" s="25" t="s">
        <v>35</v>
      </c>
      <c r="B20" s="26">
        <v>0</v>
      </c>
      <c r="C20" s="29" t="s">
        <v>76</v>
      </c>
      <c r="D20" s="32">
        <v>0</v>
      </c>
      <c r="E20" s="25" t="s">
        <v>77</v>
      </c>
      <c r="F20" s="33">
        <f>SUM(F13:F19)</f>
        <v>30</v>
      </c>
      <c r="G20" s="18" t="s">
        <v>78</v>
      </c>
      <c r="H20" s="20">
        <v>0</v>
      </c>
      <c r="I20" s="6" t="s">
        <v>79</v>
      </c>
      <c r="J20" s="31">
        <f>IF(J17-J18&gt;=0.75,1/(1+4*(J17-J18)),IF(J17-J18&gt;=0,1-(J17-J18),1-((J17-J18)/2)))</f>
        <v>1.13</v>
      </c>
      <c r="L20" s="34"/>
    </row>
    <row r="21" customHeight="1" spans="1:14">
      <c r="A21" s="25" t="s">
        <v>39</v>
      </c>
      <c r="B21" s="26">
        <v>0</v>
      </c>
      <c r="C21" s="29" t="s">
        <v>80</v>
      </c>
      <c r="D21" s="32">
        <v>0</v>
      </c>
      <c r="E21" s="25"/>
      <c r="F21" s="33"/>
      <c r="J21" s="34"/>
      <c r="K21" s="34"/>
      <c r="L21" s="34"/>
    </row>
    <row r="22" customHeight="1" spans="1:14">
      <c r="A22" s="35" t="s">
        <v>44</v>
      </c>
      <c r="B22" s="36">
        <v>0</v>
      </c>
      <c r="J22" s="34"/>
      <c r="K22" s="34"/>
      <c r="L22" s="34"/>
    </row>
    <row r="23" customHeight="1" spans="1:14">
      <c r="J23" s="34"/>
      <c r="K23" s="34"/>
      <c r="L23" s="34"/>
    </row>
    <row r="24" customHeight="1" spans="1:14">
      <c r="J24" s="34"/>
      <c r="K24" s="34"/>
      <c r="L24" s="34"/>
    </row>
    <row r="25" customHeight="1" spans="1:14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</row>
    <row r="26" customHeight="1" spans="1:14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</row>
    <row r="27" customHeight="1" spans="1:14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</row>
    <row r="28" customHeight="1" spans="1:14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</row>
    <row r="29" customHeight="1" spans="1:14">
      <c r="A29" s="34"/>
      <c r="B29" s="34"/>
      <c r="C29" s="34"/>
      <c r="D29" s="34"/>
      <c r="E29" s="34"/>
      <c r="F29" s="34"/>
      <c r="G29" s="34"/>
      <c r="H29" s="34"/>
      <c r="I29" s="34"/>
      <c r="N29" s="34"/>
    </row>
    <row r="30" customHeight="1" spans="1:14">
      <c r="A30" s="34"/>
      <c r="B30" s="34"/>
      <c r="C30" s="34"/>
      <c r="D30" s="34"/>
      <c r="E30" s="34"/>
      <c r="F30" s="34"/>
      <c r="G30" s="34"/>
      <c r="H30" s="34"/>
      <c r="I30" s="34"/>
      <c r="N30" s="34"/>
    </row>
    <row r="31" customHeight="1" spans="1:14">
      <c r="A31" s="34"/>
      <c r="B31" s="34"/>
      <c r="C31" s="34"/>
      <c r="D31" s="34"/>
      <c r="E31" s="34"/>
      <c r="F31" s="34"/>
      <c r="G31" s="34"/>
      <c r="H31" s="34"/>
      <c r="I31" s="34"/>
    </row>
    <row r="32" customHeight="1" spans="1:14">
      <c r="A32" s="34"/>
      <c r="B32" s="34"/>
      <c r="C32" s="34"/>
      <c r="D32" s="34"/>
      <c r="E32" s="34"/>
    </row>
    <row r="33" customHeight="1" spans="1:5">
      <c r="A33" s="34"/>
      <c r="B33" s="34"/>
      <c r="C33" s="34"/>
      <c r="D33" s="34"/>
      <c r="E33" s="34"/>
    </row>
    <row r="34" customHeight="1" spans="1:5">
      <c r="A34" s="34"/>
      <c r="B34" s="34"/>
      <c r="C34" s="34"/>
      <c r="D34" s="34"/>
      <c r="E34" s="34"/>
    </row>
    <row r="35" customHeight="1" spans="1:5">
      <c r="A35" s="34"/>
      <c r="B35" s="34"/>
      <c r="C35" s="34"/>
      <c r="D35" s="34"/>
      <c r="E35" s="34"/>
    </row>
  </sheetData>
  <sheetProtection algorithmName="SHA-512" hashValue="KA7TYpepN7UlF2PIUfE5HM6zJ8a5pg46eEgbxoIxi2+cnZGYzzvhmKuo8r0jSXFqb6UQCZgKtTR35OKWJczMSQ==" saltValue="wILRK7ohX3uCoSdwhsBsvA==" spinCount="100000" sheet="1" selectLockedCells="1" objects="1"/>
  <mergeCells count="15">
    <mergeCell ref="A1:B1"/>
    <mergeCell ref="C1:D1"/>
    <mergeCell ref="E1:F1"/>
    <mergeCell ref="G1:H1"/>
    <mergeCell ref="I1:J1"/>
    <mergeCell ref="K1:M1"/>
    <mergeCell ref="A5:B5"/>
    <mergeCell ref="G7:H7"/>
    <mergeCell ref="C10:D10"/>
    <mergeCell ref="C12:D12"/>
    <mergeCell ref="E12:F12"/>
    <mergeCell ref="I13:J13"/>
    <mergeCell ref="A14:B14"/>
    <mergeCell ref="E20:E21"/>
    <mergeCell ref="F20:F21"/>
  </mergeCells>
  <pageMargins left="0.7" right="0.7" top="0.75" bottom="0.75" header="0.3" footer="0.3"/>
  <pageSetup paperSize="9" orientation="portrait"/>
  <headerFooter/>
  <ignoredErrors>
    <ignoredError sqref="A1:P9 A10:B10 D10:P10 A11:P11 A12:D12 F12:P12 A13:P3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Gen强度研究院</cp:lastModifiedBy>
  <dcterms:created xsi:type="dcterms:W3CDTF">2023-05-12T11:15:00Z</dcterms:created>
  <dcterms:modified xsi:type="dcterms:W3CDTF">2025-12-05T16:42:04Z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97334A1D75CF4EC59A228E97FE0234D2_12</vt:lpwstr>
  </property>
  <property fmtid="{D5CDD505-2E9C-101B-9397-08002B2CF9AE}" pid="4" name="CalculationRule">
    <vt:i4>0</vt:i4>
  </property>
</Properties>
</file>